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BEP" sheetId="1" r:id="rId1"/>
    <sheet name="BEP e leve" sheetId="2" r:id="rId2"/>
    <sheet name="leva finanziaria" sheetId="3" r:id="rId3"/>
    <sheet name="leva operativa" sheetId="4" r:id="rId4"/>
  </sheets>
  <calcPr calcId="145621"/>
</workbook>
</file>

<file path=xl/calcChain.xml><?xml version="1.0" encoding="utf-8"?>
<calcChain xmlns="http://schemas.openxmlformats.org/spreadsheetml/2006/main">
  <c r="B44" i="4" l="1"/>
  <c r="B45" i="4" s="1"/>
  <c r="B43" i="4"/>
  <c r="B36" i="4"/>
  <c r="B34" i="4"/>
  <c r="B31" i="4"/>
  <c r="B42" i="4"/>
  <c r="B35" i="4"/>
  <c r="B28" i="4"/>
  <c r="B23" i="4"/>
  <c r="B11" i="4"/>
  <c r="B12" i="4" s="1"/>
  <c r="B10" i="4"/>
  <c r="B16" i="4"/>
  <c r="B6" i="4"/>
  <c r="B25" i="4" s="1"/>
  <c r="B5" i="4"/>
  <c r="C41" i="3"/>
  <c r="D41" i="3"/>
  <c r="B41" i="3"/>
  <c r="C40" i="3"/>
  <c r="D40" i="3"/>
  <c r="B40" i="3"/>
  <c r="B36" i="3"/>
  <c r="C34" i="3"/>
  <c r="C39" i="3"/>
  <c r="B39" i="3"/>
  <c r="D39" i="3"/>
  <c r="C37" i="3"/>
  <c r="D37" i="3"/>
  <c r="B37" i="3"/>
  <c r="C36" i="3"/>
  <c r="D36" i="3"/>
  <c r="C35" i="3"/>
  <c r="D35" i="3"/>
  <c r="B35" i="3"/>
  <c r="D34" i="3"/>
  <c r="B34" i="3"/>
  <c r="C33" i="3"/>
  <c r="D33" i="3"/>
  <c r="B33" i="3"/>
  <c r="B31" i="3"/>
  <c r="C31" i="3"/>
  <c r="D31" i="3"/>
  <c r="D27" i="3"/>
  <c r="D26" i="3"/>
  <c r="C27" i="3"/>
  <c r="C26" i="3"/>
  <c r="D25" i="3"/>
  <c r="C25" i="3"/>
  <c r="B21" i="3"/>
  <c r="B18" i="3"/>
  <c r="B17" i="3"/>
  <c r="B16" i="3"/>
  <c r="B9" i="3"/>
  <c r="B8" i="3"/>
  <c r="B14" i="3"/>
  <c r="B15" i="3"/>
  <c r="B10" i="3"/>
  <c r="B11" i="3" s="1"/>
  <c r="B7" i="3"/>
  <c r="D52" i="2"/>
  <c r="C52" i="2"/>
  <c r="D50" i="2"/>
  <c r="D49" i="2"/>
  <c r="D48" i="2"/>
  <c r="D46" i="2"/>
  <c r="C50" i="2"/>
  <c r="C48" i="2"/>
  <c r="B38" i="2"/>
  <c r="B32" i="2"/>
  <c r="B35" i="2"/>
  <c r="B34" i="2"/>
  <c r="B33" i="2"/>
  <c r="B31" i="2"/>
  <c r="B29" i="2"/>
  <c r="B30" i="2" s="1"/>
  <c r="B14" i="2"/>
  <c r="B15" i="2" s="1"/>
  <c r="B12" i="2"/>
  <c r="B13" i="2" s="1"/>
  <c r="B40" i="1"/>
  <c r="B39" i="1"/>
  <c r="B34" i="1"/>
  <c r="B33" i="1"/>
  <c r="B32" i="1"/>
  <c r="B31" i="1"/>
  <c r="B22" i="1"/>
  <c r="B21" i="1"/>
  <c r="B19" i="1"/>
  <c r="B18" i="1"/>
  <c r="B7" i="1"/>
  <c r="B17" i="1"/>
  <c r="B16" i="1"/>
  <c r="B15" i="1"/>
  <c r="B13" i="1"/>
  <c r="B8" i="1"/>
  <c r="B6" i="1"/>
  <c r="B4" i="1"/>
  <c r="B22" i="4" l="1"/>
  <c r="B24" i="4" s="1"/>
  <c r="B26" i="4" s="1"/>
  <c r="B15" i="4"/>
  <c r="B17" i="4" s="1"/>
  <c r="B30" i="4"/>
  <c r="B41" i="4"/>
  <c r="B7" i="4"/>
  <c r="B18" i="4"/>
  <c r="B19" i="4" s="1"/>
  <c r="B29" i="4"/>
  <c r="B37" i="4"/>
  <c r="B12" i="3"/>
  <c r="B36" i="2"/>
  <c r="B38" i="4" l="1"/>
  <c r="B9" i="4"/>
  <c r="B8" i="4"/>
</calcChain>
</file>

<file path=xl/sharedStrings.xml><?xml version="1.0" encoding="utf-8"?>
<sst xmlns="http://schemas.openxmlformats.org/spreadsheetml/2006/main" count="259" uniqueCount="138">
  <si>
    <t>q</t>
  </si>
  <si>
    <t>p</t>
  </si>
  <si>
    <t>camere</t>
  </si>
  <si>
    <t>€/camera</t>
  </si>
  <si>
    <t>CF</t>
  </si>
  <si>
    <t>€</t>
  </si>
  <si>
    <t>cv</t>
  </si>
  <si>
    <t>mc</t>
  </si>
  <si>
    <t>BEP</t>
  </si>
  <si>
    <t>€/anno</t>
  </si>
  <si>
    <t>camere/anno</t>
  </si>
  <si>
    <t>camere/giorno</t>
  </si>
  <si>
    <t>fatturato</t>
  </si>
  <si>
    <t>provvigione</t>
  </si>
  <si>
    <t>RN</t>
  </si>
  <si>
    <t>q RN</t>
  </si>
  <si>
    <t>fattutato pareggio</t>
  </si>
  <si>
    <t>fatturato RN</t>
  </si>
  <si>
    <t>Esercizio 1</t>
  </si>
  <si>
    <t>Esercizio 2</t>
  </si>
  <si>
    <t>Esercizio 3</t>
  </si>
  <si>
    <t>p'</t>
  </si>
  <si>
    <t>q'</t>
  </si>
  <si>
    <t>più conveniente</t>
  </si>
  <si>
    <t>cv BUY</t>
  </si>
  <si>
    <t>cv MAKE</t>
  </si>
  <si>
    <t>CF MAKE</t>
  </si>
  <si>
    <t>CF BUY</t>
  </si>
  <si>
    <t>mc'</t>
  </si>
  <si>
    <t>q * mc</t>
  </si>
  <si>
    <t>q' * mc'</t>
  </si>
  <si>
    <t>cv BUY * q' + CF BUY</t>
  </si>
  <si>
    <t>cv MAKE * q' + CF MAKE</t>
  </si>
  <si>
    <t>Analisi del punto di pareggio</t>
  </si>
  <si>
    <t>percorso</t>
  </si>
  <si>
    <t>pacchi</t>
  </si>
  <si>
    <t>giornali/pacco</t>
  </si>
  <si>
    <t>km/giorno</t>
  </si>
  <si>
    <t>benzina</t>
  </si>
  <si>
    <t>€/km</t>
  </si>
  <si>
    <t>conducente</t>
  </si>
  <si>
    <t>€/giorno</t>
  </si>
  <si>
    <t>€/copia</t>
  </si>
  <si>
    <t>€/pacco</t>
  </si>
  <si>
    <t>ammortamento</t>
  </si>
  <si>
    <t>impacchettamento</t>
  </si>
  <si>
    <t>costi vari</t>
  </si>
  <si>
    <t>costo giornale</t>
  </si>
  <si>
    <t>pacchi/giorno</t>
  </si>
  <si>
    <t>Costi ricavi e profitti</t>
  </si>
  <si>
    <t>distanza</t>
  </si>
  <si>
    <t>viaggi</t>
  </si>
  <si>
    <t>A/R</t>
  </si>
  <si>
    <t>ammortamenti</t>
  </si>
  <si>
    <t>equipaggio</t>
  </si>
  <si>
    <t>spese portuali</t>
  </si>
  <si>
    <t>€/attracco</t>
  </si>
  <si>
    <t>€/mese</t>
  </si>
  <si>
    <t>manutenzione</t>
  </si>
  <si>
    <t>vitto</t>
  </si>
  <si>
    <t>assistenza</t>
  </si>
  <si>
    <t>paggeggeri/viaggio</t>
  </si>
  <si>
    <t>dei ricavi totali</t>
  </si>
  <si>
    <t>profitto annuo</t>
  </si>
  <si>
    <t>€/passeggero</t>
  </si>
  <si>
    <t>CV = cv * q</t>
  </si>
  <si>
    <t>carburante</t>
  </si>
  <si>
    <t>km/viaggio</t>
  </si>
  <si>
    <t>p*q - CV - CF = 10% p*q</t>
  </si>
  <si>
    <t>CV</t>
  </si>
  <si>
    <t>€/viaggio</t>
  </si>
  <si>
    <t>Leva finanziaria</t>
  </si>
  <si>
    <t>CI</t>
  </si>
  <si>
    <t>CT</t>
  </si>
  <si>
    <t>CN</t>
  </si>
  <si>
    <t>RO</t>
  </si>
  <si>
    <t>OF</t>
  </si>
  <si>
    <t>RAI</t>
  </si>
  <si>
    <t>imposte (40%)</t>
  </si>
  <si>
    <t>utile</t>
  </si>
  <si>
    <t>2004 con debito</t>
  </si>
  <si>
    <t>2004 senza debito</t>
  </si>
  <si>
    <t>ROE</t>
  </si>
  <si>
    <t>meglio con debito</t>
  </si>
  <si>
    <t>ROI</t>
  </si>
  <si>
    <t>CT/CN</t>
  </si>
  <si>
    <t>ROD</t>
  </si>
  <si>
    <t>TF</t>
  </si>
  <si>
    <t>CT'/CN'</t>
  </si>
  <si>
    <t>CN'</t>
  </si>
  <si>
    <t>CT'</t>
  </si>
  <si>
    <t>OF'</t>
  </si>
  <si>
    <t>RN'</t>
  </si>
  <si>
    <t>ROE'</t>
  </si>
  <si>
    <t>ROI''</t>
  </si>
  <si>
    <t>(ROI'' + (ROI''-ROD)*CT/CN)*(1 - TF) = 0</t>
  </si>
  <si>
    <t>Esesrcizio 2</t>
  </si>
  <si>
    <t>A</t>
  </si>
  <si>
    <t>B</t>
  </si>
  <si>
    <t>G</t>
  </si>
  <si>
    <t>imposte</t>
  </si>
  <si>
    <t>ROE (definizione)</t>
  </si>
  <si>
    <t>ROE (leva)</t>
  </si>
  <si>
    <t>essendo ROI-ROD = 0 al variare dell'indebitamento ROE non cambia</t>
  </si>
  <si>
    <t>u</t>
  </si>
  <si>
    <t>€/u</t>
  </si>
  <si>
    <t>BEP in q</t>
  </si>
  <si>
    <t>BEP in v</t>
  </si>
  <si>
    <t>MS</t>
  </si>
  <si>
    <t>LO</t>
  </si>
  <si>
    <t>RO'</t>
  </si>
  <si>
    <t>MC</t>
  </si>
  <si>
    <t>MC'</t>
  </si>
  <si>
    <t>LO'</t>
  </si>
  <si>
    <t>DRO''</t>
  </si>
  <si>
    <t>Dq''</t>
  </si>
  <si>
    <t>DRO'</t>
  </si>
  <si>
    <t>Dq'</t>
  </si>
  <si>
    <t>q''</t>
  </si>
  <si>
    <t>RO''</t>
  </si>
  <si>
    <t>MC''</t>
  </si>
  <si>
    <t>LO''</t>
  </si>
  <si>
    <t>CF'''</t>
  </si>
  <si>
    <t>BEP'''</t>
  </si>
  <si>
    <t>LO'''</t>
  </si>
  <si>
    <t>Dq''''</t>
  </si>
  <si>
    <t>DRO''''</t>
  </si>
  <si>
    <t>q''''</t>
  </si>
  <si>
    <t>RO''''</t>
  </si>
  <si>
    <t>MC''''</t>
  </si>
  <si>
    <t>LO''''</t>
  </si>
  <si>
    <t>Dq'''''</t>
  </si>
  <si>
    <t>DRO'''''</t>
  </si>
  <si>
    <t>q'''''</t>
  </si>
  <si>
    <t>RO'''''</t>
  </si>
  <si>
    <t>RO'''</t>
  </si>
  <si>
    <t>MC'''''</t>
  </si>
  <si>
    <t>LO'''''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</si>
</sst>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9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0" fontId="1" fillId="0" borderId="0" xfId="0" applyNumberFormat="1" applyFont="1" applyAlignment="1">
      <alignment vertical="center"/>
    </xf>
    <xf numFmtId="3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workbookViewId="0"/>
  </sheetViews>
  <sheetFormatPr defaultRowHeight="11.25" x14ac:dyDescent="0.25"/>
  <cols>
    <col min="1" max="1" width="15.85546875" style="1" bestFit="1" customWidth="1"/>
    <col min="2" max="2" width="7.85546875" style="1" bestFit="1" customWidth="1"/>
    <col min="3" max="3" width="11" style="1" bestFit="1" customWidth="1"/>
    <col min="4" max="4" width="11.85546875" style="1" bestFit="1" customWidth="1"/>
    <col min="5" max="16384" width="9.140625" style="1"/>
  </cols>
  <sheetData>
    <row r="1" spans="1:3" x14ac:dyDescent="0.25">
      <c r="A1" s="4" t="s">
        <v>18</v>
      </c>
    </row>
    <row r="2" spans="1:3" x14ac:dyDescent="0.25">
      <c r="A2" s="1" t="s">
        <v>0</v>
      </c>
      <c r="B2" s="1">
        <v>40</v>
      </c>
      <c r="C2" s="1" t="s">
        <v>2</v>
      </c>
    </row>
    <row r="3" spans="1:3" x14ac:dyDescent="0.25">
      <c r="A3" s="1" t="s">
        <v>1</v>
      </c>
      <c r="B3" s="1">
        <v>70</v>
      </c>
      <c r="C3" s="1" t="s">
        <v>3</v>
      </c>
    </row>
    <row r="4" spans="1:3" x14ac:dyDescent="0.25">
      <c r="A4" s="1" t="s">
        <v>4</v>
      </c>
      <c r="B4" s="2">
        <f>(74+43+59+18+12+25+24+27+13+28.4+55+127+17.4)*1000</f>
        <v>522799.99999999994</v>
      </c>
      <c r="C4" s="1" t="s">
        <v>9</v>
      </c>
    </row>
    <row r="5" spans="1:3" x14ac:dyDescent="0.25">
      <c r="A5" s="1" t="s">
        <v>6</v>
      </c>
      <c r="B5" s="1">
        <v>6</v>
      </c>
      <c r="C5" s="1" t="s">
        <v>3</v>
      </c>
    </row>
    <row r="6" spans="1:3" x14ac:dyDescent="0.25">
      <c r="A6" s="1" t="s">
        <v>7</v>
      </c>
      <c r="B6" s="1">
        <f>B3-B5</f>
        <v>64</v>
      </c>
      <c r="C6" s="1" t="s">
        <v>3</v>
      </c>
    </row>
    <row r="7" spans="1:3" x14ac:dyDescent="0.25">
      <c r="A7" s="1" t="s">
        <v>8</v>
      </c>
      <c r="B7" s="2">
        <f>ROUNDUP(B4/B6,0)</f>
        <v>8169</v>
      </c>
      <c r="C7" s="1" t="s">
        <v>10</v>
      </c>
    </row>
    <row r="8" spans="1:3" x14ac:dyDescent="0.25">
      <c r="A8" s="1" t="s">
        <v>8</v>
      </c>
      <c r="B8" s="1">
        <f>ROUNDUP(B7/365,0)</f>
        <v>23</v>
      </c>
      <c r="C8" s="1" t="s">
        <v>11</v>
      </c>
    </row>
    <row r="10" spans="1:3" x14ac:dyDescent="0.25">
      <c r="A10" s="4" t="s">
        <v>19</v>
      </c>
    </row>
    <row r="11" spans="1:3" x14ac:dyDescent="0.25">
      <c r="A11" s="1" t="s">
        <v>0</v>
      </c>
      <c r="B11" s="1">
        <v>500</v>
      </c>
      <c r="C11" s="1" t="s">
        <v>2</v>
      </c>
    </row>
    <row r="12" spans="1:3" x14ac:dyDescent="0.25">
      <c r="A12" s="1" t="s">
        <v>12</v>
      </c>
      <c r="B12" s="2">
        <v>75000</v>
      </c>
      <c r="C12" s="1" t="s">
        <v>9</v>
      </c>
    </row>
    <row r="13" spans="1:3" x14ac:dyDescent="0.25">
      <c r="A13" s="1" t="s">
        <v>4</v>
      </c>
      <c r="B13" s="2">
        <f>(75+43.2+14+5+3+4)*1000</f>
        <v>144200</v>
      </c>
      <c r="C13" s="1" t="s">
        <v>9</v>
      </c>
    </row>
    <row r="14" spans="1:3" x14ac:dyDescent="0.25">
      <c r="A14" s="1" t="s">
        <v>13</v>
      </c>
      <c r="B14" s="3">
        <v>0.06</v>
      </c>
    </row>
    <row r="15" spans="1:3" x14ac:dyDescent="0.25">
      <c r="A15" s="1" t="s">
        <v>1</v>
      </c>
      <c r="B15" s="1">
        <f>B12/B11</f>
        <v>150</v>
      </c>
      <c r="C15" s="1" t="s">
        <v>3</v>
      </c>
    </row>
    <row r="16" spans="1:3" x14ac:dyDescent="0.25">
      <c r="A16" s="1" t="s">
        <v>6</v>
      </c>
      <c r="B16" s="1">
        <f>B15*B14</f>
        <v>9</v>
      </c>
      <c r="C16" s="1" t="s">
        <v>3</v>
      </c>
    </row>
    <row r="17" spans="1:3" x14ac:dyDescent="0.25">
      <c r="A17" s="1" t="s">
        <v>7</v>
      </c>
      <c r="B17" s="1">
        <f>B15-B16</f>
        <v>141</v>
      </c>
      <c r="C17" s="1" t="s">
        <v>3</v>
      </c>
    </row>
    <row r="18" spans="1:3" x14ac:dyDescent="0.25">
      <c r="A18" s="1" t="s">
        <v>8</v>
      </c>
      <c r="B18" s="2">
        <f>ROUNDUP(B13/B17,0)</f>
        <v>1023</v>
      </c>
      <c r="C18" s="1" t="s">
        <v>10</v>
      </c>
    </row>
    <row r="19" spans="1:3" x14ac:dyDescent="0.25">
      <c r="A19" s="1" t="s">
        <v>16</v>
      </c>
      <c r="B19" s="2">
        <f>B18*B15</f>
        <v>153450</v>
      </c>
      <c r="C19" s="1" t="s">
        <v>9</v>
      </c>
    </row>
    <row r="20" spans="1:3" x14ac:dyDescent="0.25">
      <c r="A20" s="1" t="s">
        <v>14</v>
      </c>
      <c r="B20" s="2">
        <v>16200</v>
      </c>
      <c r="C20" s="1" t="s">
        <v>9</v>
      </c>
    </row>
    <row r="21" spans="1:3" x14ac:dyDescent="0.25">
      <c r="A21" s="1" t="s">
        <v>15</v>
      </c>
      <c r="B21" s="2">
        <f>ROUNDUP((B13+B20)/B17,0)</f>
        <v>1138</v>
      </c>
      <c r="C21" s="1" t="s">
        <v>10</v>
      </c>
    </row>
    <row r="22" spans="1:3" x14ac:dyDescent="0.25">
      <c r="A22" s="1" t="s">
        <v>17</v>
      </c>
      <c r="B22" s="2">
        <f>B21*B15</f>
        <v>170700</v>
      </c>
      <c r="C22" s="1" t="s">
        <v>9</v>
      </c>
    </row>
    <row r="24" spans="1:3" x14ac:dyDescent="0.25">
      <c r="A24" s="4" t="s">
        <v>20</v>
      </c>
    </row>
    <row r="25" spans="1:3" x14ac:dyDescent="0.25">
      <c r="A25" s="1" t="s">
        <v>0</v>
      </c>
      <c r="B25" s="2">
        <v>20000</v>
      </c>
      <c r="C25" s="1" t="s">
        <v>10</v>
      </c>
    </row>
    <row r="26" spans="1:3" x14ac:dyDescent="0.25">
      <c r="A26" s="1" t="s">
        <v>1</v>
      </c>
      <c r="B26" s="1">
        <v>150</v>
      </c>
      <c r="C26" s="1" t="s">
        <v>3</v>
      </c>
    </row>
    <row r="27" spans="1:3" x14ac:dyDescent="0.25">
      <c r="A27" s="1" t="s">
        <v>6</v>
      </c>
      <c r="B27" s="1">
        <v>110</v>
      </c>
      <c r="C27" s="1" t="s">
        <v>3</v>
      </c>
    </row>
    <row r="28" spans="1:3" x14ac:dyDescent="0.25">
      <c r="A28" s="1" t="s">
        <v>4</v>
      </c>
      <c r="B28" s="2">
        <v>500000</v>
      </c>
      <c r="C28" s="1" t="s">
        <v>9</v>
      </c>
    </row>
    <row r="29" spans="1:3" x14ac:dyDescent="0.25">
      <c r="A29" s="1" t="s">
        <v>21</v>
      </c>
      <c r="B29" s="1">
        <v>160</v>
      </c>
      <c r="C29" s="1" t="s">
        <v>3</v>
      </c>
    </row>
    <row r="30" spans="1:3" x14ac:dyDescent="0.25">
      <c r="A30" s="1" t="s">
        <v>22</v>
      </c>
      <c r="B30" s="2">
        <v>18000</v>
      </c>
      <c r="C30" s="1" t="s">
        <v>10</v>
      </c>
    </row>
    <row r="31" spans="1:3" x14ac:dyDescent="0.25">
      <c r="A31" s="1" t="s">
        <v>7</v>
      </c>
      <c r="B31" s="2">
        <f>B26-B27</f>
        <v>40</v>
      </c>
      <c r="C31" s="1" t="s">
        <v>3</v>
      </c>
    </row>
    <row r="32" spans="1:3" x14ac:dyDescent="0.25">
      <c r="A32" s="1" t="s">
        <v>28</v>
      </c>
      <c r="B32" s="2">
        <f>B29-B27</f>
        <v>50</v>
      </c>
      <c r="C32" s="1" t="s">
        <v>3</v>
      </c>
    </row>
    <row r="33" spans="1:4" x14ac:dyDescent="0.25">
      <c r="A33" s="1" t="s">
        <v>29</v>
      </c>
      <c r="B33" s="2">
        <f>B25*B31</f>
        <v>800000</v>
      </c>
      <c r="C33" s="1" t="s">
        <v>9</v>
      </c>
    </row>
    <row r="34" spans="1:4" x14ac:dyDescent="0.25">
      <c r="A34" s="1" t="s">
        <v>30</v>
      </c>
      <c r="B34" s="2">
        <f>B30*B32</f>
        <v>900000</v>
      </c>
      <c r="C34" s="1" t="s">
        <v>9</v>
      </c>
      <c r="D34" s="1" t="s">
        <v>23</v>
      </c>
    </row>
    <row r="35" spans="1:4" x14ac:dyDescent="0.25">
      <c r="A35" s="1" t="s">
        <v>24</v>
      </c>
      <c r="B35" s="1">
        <v>16.100000000000001</v>
      </c>
      <c r="C35" s="1" t="s">
        <v>3</v>
      </c>
    </row>
    <row r="36" spans="1:4" x14ac:dyDescent="0.25">
      <c r="A36" s="1" t="s">
        <v>25</v>
      </c>
      <c r="B36" s="1">
        <v>16</v>
      </c>
      <c r="C36" s="1" t="s">
        <v>3</v>
      </c>
    </row>
    <row r="37" spans="1:4" x14ac:dyDescent="0.25">
      <c r="A37" s="1" t="s">
        <v>26</v>
      </c>
      <c r="B37" s="2">
        <v>10000</v>
      </c>
      <c r="C37" s="1" t="s">
        <v>9</v>
      </c>
    </row>
    <row r="38" spans="1:4" x14ac:dyDescent="0.25">
      <c r="A38" s="1" t="s">
        <v>27</v>
      </c>
      <c r="B38" s="2">
        <v>5000</v>
      </c>
      <c r="C38" s="1" t="s">
        <v>9</v>
      </c>
    </row>
    <row r="39" spans="1:4" x14ac:dyDescent="0.25">
      <c r="A39" s="1" t="s">
        <v>31</v>
      </c>
      <c r="B39" s="2">
        <f>B35*B30+B38</f>
        <v>294800</v>
      </c>
      <c r="C39" s="1" t="s">
        <v>9</v>
      </c>
      <c r="D39" s="1" t="s">
        <v>23</v>
      </c>
    </row>
    <row r="40" spans="1:4" x14ac:dyDescent="0.25">
      <c r="A40" s="1" t="s">
        <v>32</v>
      </c>
      <c r="B40" s="2">
        <f>B36*B30+B37</f>
        <v>298000</v>
      </c>
      <c r="C40" s="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/>
  </sheetViews>
  <sheetFormatPr defaultRowHeight="11.25" x14ac:dyDescent="0.25"/>
  <cols>
    <col min="1" max="1" width="20" style="1" bestFit="1" customWidth="1"/>
    <col min="2" max="2" width="7.85546875" style="1" bestFit="1" customWidth="1"/>
    <col min="3" max="3" width="13.7109375" style="1" bestFit="1" customWidth="1"/>
    <col min="4" max="4" width="13.42578125" style="1" bestFit="1" customWidth="1"/>
    <col min="5" max="16384" width="9.140625" style="1"/>
  </cols>
  <sheetData>
    <row r="1" spans="1:3" x14ac:dyDescent="0.25">
      <c r="A1" s="4" t="s">
        <v>33</v>
      </c>
    </row>
    <row r="2" spans="1:3" x14ac:dyDescent="0.25">
      <c r="A2" s="1" t="s">
        <v>34</v>
      </c>
      <c r="B2" s="1">
        <v>100</v>
      </c>
      <c r="C2" s="1" t="s">
        <v>37</v>
      </c>
    </row>
    <row r="3" spans="1:3" x14ac:dyDescent="0.25">
      <c r="A3" s="1" t="s">
        <v>35</v>
      </c>
      <c r="B3" s="1">
        <v>12</v>
      </c>
      <c r="C3" s="1" t="s">
        <v>36</v>
      </c>
    </row>
    <row r="4" spans="1:3" x14ac:dyDescent="0.25">
      <c r="A4" s="1" t="s">
        <v>38</v>
      </c>
      <c r="B4" s="1">
        <v>0.2</v>
      </c>
      <c r="C4" s="1" t="s">
        <v>39</v>
      </c>
    </row>
    <row r="5" spans="1:3" x14ac:dyDescent="0.25">
      <c r="A5" s="1" t="s">
        <v>40</v>
      </c>
      <c r="B5" s="1">
        <v>100</v>
      </c>
      <c r="C5" s="1" t="s">
        <v>41</v>
      </c>
    </row>
    <row r="6" spans="1:3" x14ac:dyDescent="0.25">
      <c r="A6" s="1" t="s">
        <v>47</v>
      </c>
      <c r="B6" s="1">
        <v>1</v>
      </c>
      <c r="C6" s="1" t="s">
        <v>42</v>
      </c>
    </row>
    <row r="7" spans="1:3" x14ac:dyDescent="0.25">
      <c r="A7" s="1" t="s">
        <v>45</v>
      </c>
      <c r="B7" s="1">
        <v>1</v>
      </c>
      <c r="C7" s="1" t="s">
        <v>43</v>
      </c>
    </row>
    <row r="8" spans="1:3" x14ac:dyDescent="0.25">
      <c r="B8" s="1">
        <v>50</v>
      </c>
      <c r="C8" s="1" t="s">
        <v>41</v>
      </c>
    </row>
    <row r="9" spans="1:3" x14ac:dyDescent="0.25">
      <c r="A9" s="1" t="s">
        <v>44</v>
      </c>
      <c r="B9" s="1">
        <v>50</v>
      </c>
      <c r="C9" s="1" t="s">
        <v>41</v>
      </c>
    </row>
    <row r="10" spans="1:3" x14ac:dyDescent="0.25">
      <c r="A10" s="1" t="s">
        <v>46</v>
      </c>
      <c r="B10" s="1">
        <v>0.6</v>
      </c>
      <c r="C10" s="1" t="s">
        <v>39</v>
      </c>
    </row>
    <row r="11" spans="1:3" x14ac:dyDescent="0.25">
      <c r="A11" s="1" t="s">
        <v>1</v>
      </c>
      <c r="B11" s="1">
        <v>15</v>
      </c>
      <c r="C11" s="1" t="s">
        <v>43</v>
      </c>
    </row>
    <row r="12" spans="1:3" x14ac:dyDescent="0.25">
      <c r="A12" s="1" t="s">
        <v>6</v>
      </c>
      <c r="B12" s="1">
        <f>B6*B3+B7</f>
        <v>13</v>
      </c>
      <c r="C12" s="1" t="s">
        <v>43</v>
      </c>
    </row>
    <row r="13" spans="1:3" x14ac:dyDescent="0.25">
      <c r="A13" s="1" t="s">
        <v>7</v>
      </c>
      <c r="B13" s="1">
        <f>B11-B12</f>
        <v>2</v>
      </c>
      <c r="C13" s="1" t="s">
        <v>43</v>
      </c>
    </row>
    <row r="14" spans="1:3" x14ac:dyDescent="0.25">
      <c r="A14" s="1" t="s">
        <v>4</v>
      </c>
      <c r="B14" s="1">
        <f>B4*B2+B5+B8+B9+B10*B2</f>
        <v>280</v>
      </c>
      <c r="C14" s="1" t="s">
        <v>41</v>
      </c>
    </row>
    <row r="15" spans="1:3" x14ac:dyDescent="0.25">
      <c r="A15" s="1" t="s">
        <v>8</v>
      </c>
      <c r="B15" s="1">
        <f>B14/B13</f>
        <v>140</v>
      </c>
      <c r="C15" s="1" t="s">
        <v>48</v>
      </c>
    </row>
    <row r="17" spans="1:3" x14ac:dyDescent="0.25">
      <c r="A17" s="4" t="s">
        <v>49</v>
      </c>
    </row>
    <row r="18" spans="1:3" x14ac:dyDescent="0.25">
      <c r="A18" s="1" t="s">
        <v>50</v>
      </c>
      <c r="B18" s="1">
        <v>500</v>
      </c>
      <c r="C18" s="1" t="s">
        <v>67</v>
      </c>
    </row>
    <row r="19" spans="1:3" x14ac:dyDescent="0.25">
      <c r="A19" s="1" t="s">
        <v>51</v>
      </c>
      <c r="B19" s="1">
        <v>8</v>
      </c>
      <c r="C19" s="1" t="s">
        <v>52</v>
      </c>
    </row>
    <row r="20" spans="1:3" x14ac:dyDescent="0.25">
      <c r="A20" s="1" t="s">
        <v>53</v>
      </c>
      <c r="B20" s="2">
        <v>100000</v>
      </c>
      <c r="C20" s="1" t="s">
        <v>9</v>
      </c>
    </row>
    <row r="21" spans="1:3" x14ac:dyDescent="0.25">
      <c r="A21" s="1" t="s">
        <v>54</v>
      </c>
      <c r="B21" s="2">
        <v>25000</v>
      </c>
      <c r="C21" s="1" t="s">
        <v>57</v>
      </c>
    </row>
    <row r="22" spans="1:3" x14ac:dyDescent="0.25">
      <c r="A22" s="1" t="s">
        <v>66</v>
      </c>
      <c r="B22" s="2">
        <v>10</v>
      </c>
      <c r="C22" s="1" t="s">
        <v>39</v>
      </c>
    </row>
    <row r="23" spans="1:3" x14ac:dyDescent="0.25">
      <c r="A23" s="1" t="s">
        <v>55</v>
      </c>
      <c r="B23" s="2">
        <v>1000</v>
      </c>
      <c r="C23" s="1" t="s">
        <v>56</v>
      </c>
    </row>
    <row r="24" spans="1:3" x14ac:dyDescent="0.25">
      <c r="A24" s="1" t="s">
        <v>58</v>
      </c>
      <c r="B24" s="2">
        <v>5000</v>
      </c>
      <c r="C24" s="1" t="s">
        <v>57</v>
      </c>
    </row>
    <row r="25" spans="1:3" x14ac:dyDescent="0.25">
      <c r="A25" s="1" t="s">
        <v>59</v>
      </c>
      <c r="B25" s="1">
        <v>10</v>
      </c>
      <c r="C25" s="1" t="s">
        <v>64</v>
      </c>
    </row>
    <row r="26" spans="1:3" x14ac:dyDescent="0.25">
      <c r="A26" s="1" t="s">
        <v>60</v>
      </c>
      <c r="B26" s="1">
        <v>5</v>
      </c>
      <c r="C26" s="1" t="s">
        <v>64</v>
      </c>
    </row>
    <row r="27" spans="1:3" x14ac:dyDescent="0.25">
      <c r="A27" s="1" t="s">
        <v>0</v>
      </c>
      <c r="B27" s="1">
        <v>200</v>
      </c>
      <c r="C27" s="1" t="s">
        <v>61</v>
      </c>
    </row>
    <row r="28" spans="1:3" x14ac:dyDescent="0.25">
      <c r="A28" s="1" t="s">
        <v>63</v>
      </c>
      <c r="B28" s="3">
        <v>0.1</v>
      </c>
      <c r="C28" s="1" t="s">
        <v>62</v>
      </c>
    </row>
    <row r="29" spans="1:3" x14ac:dyDescent="0.25">
      <c r="A29" s="1" t="s">
        <v>6</v>
      </c>
      <c r="B29" s="1">
        <f>B25+B26</f>
        <v>15</v>
      </c>
      <c r="C29" s="1" t="s">
        <v>64</v>
      </c>
    </row>
    <row r="30" spans="1:3" x14ac:dyDescent="0.25">
      <c r="A30" s="1" t="s">
        <v>65</v>
      </c>
      <c r="B30" s="2">
        <f>B29*B27</f>
        <v>3000</v>
      </c>
      <c r="C30" s="1" t="s">
        <v>70</v>
      </c>
    </row>
    <row r="31" spans="1:3" x14ac:dyDescent="0.25">
      <c r="A31" s="1" t="s">
        <v>53</v>
      </c>
      <c r="B31" s="2">
        <f>B20/(B19*2*12)</f>
        <v>520.83333333333337</v>
      </c>
      <c r="C31" s="1" t="s">
        <v>70</v>
      </c>
    </row>
    <row r="32" spans="1:3" x14ac:dyDescent="0.25">
      <c r="A32" s="1" t="s">
        <v>54</v>
      </c>
      <c r="B32" s="2">
        <f>B21/(B19*2)</f>
        <v>1562.5</v>
      </c>
      <c r="C32" s="1" t="s">
        <v>70</v>
      </c>
    </row>
    <row r="33" spans="1:4" x14ac:dyDescent="0.25">
      <c r="A33" s="1" t="s">
        <v>66</v>
      </c>
      <c r="B33" s="2">
        <f>B22*B18</f>
        <v>5000</v>
      </c>
      <c r="C33" s="1" t="s">
        <v>70</v>
      </c>
    </row>
    <row r="34" spans="1:4" x14ac:dyDescent="0.25">
      <c r="A34" s="1" t="s">
        <v>55</v>
      </c>
      <c r="B34" s="2">
        <f>B23</f>
        <v>1000</v>
      </c>
      <c r="C34" s="1" t="s">
        <v>70</v>
      </c>
    </row>
    <row r="35" spans="1:4" x14ac:dyDescent="0.25">
      <c r="A35" s="1" t="s">
        <v>58</v>
      </c>
      <c r="B35" s="2">
        <f>B24/(B19*2)</f>
        <v>312.5</v>
      </c>
      <c r="C35" s="1" t="s">
        <v>70</v>
      </c>
    </row>
    <row r="36" spans="1:4" x14ac:dyDescent="0.25">
      <c r="A36" s="1" t="s">
        <v>4</v>
      </c>
      <c r="B36" s="2">
        <f>SUM(B31:B35)</f>
        <v>8395.8333333333339</v>
      </c>
      <c r="C36" s="1" t="s">
        <v>70</v>
      </c>
    </row>
    <row r="37" spans="1:4" x14ac:dyDescent="0.25">
      <c r="A37" s="1" t="s">
        <v>68</v>
      </c>
    </row>
    <row r="38" spans="1:4" x14ac:dyDescent="0.25">
      <c r="A38" s="1" t="s">
        <v>1</v>
      </c>
      <c r="B38" s="5">
        <f>(B30+B36)/B27/(1-B28)</f>
        <v>63.31018518518519</v>
      </c>
      <c r="C38" s="1" t="s">
        <v>70</v>
      </c>
    </row>
    <row r="40" spans="1:4" x14ac:dyDescent="0.25">
      <c r="A40" s="4" t="s">
        <v>71</v>
      </c>
    </row>
    <row r="41" spans="1:4" x14ac:dyDescent="0.25">
      <c r="B41" s="1">
        <v>2003</v>
      </c>
      <c r="C41" s="7" t="s">
        <v>80</v>
      </c>
      <c r="D41" s="7" t="s">
        <v>81</v>
      </c>
    </row>
    <row r="42" spans="1:4" x14ac:dyDescent="0.25">
      <c r="A42" s="1" t="s">
        <v>72</v>
      </c>
      <c r="B42" s="2">
        <v>1600</v>
      </c>
      <c r="C42" s="2">
        <v>1814</v>
      </c>
      <c r="D42" s="2">
        <v>1814</v>
      </c>
    </row>
    <row r="43" spans="1:4" x14ac:dyDescent="0.25">
      <c r="A43" s="1" t="s">
        <v>73</v>
      </c>
      <c r="B43" s="1">
        <v>600</v>
      </c>
      <c r="C43" s="1">
        <v>504</v>
      </c>
      <c r="D43" s="1">
        <v>0</v>
      </c>
    </row>
    <row r="44" spans="1:4" x14ac:dyDescent="0.25">
      <c r="A44" s="1" t="s">
        <v>74</v>
      </c>
      <c r="B44" s="2">
        <v>1000</v>
      </c>
      <c r="C44" s="2">
        <v>1310</v>
      </c>
      <c r="D44" s="2">
        <v>1814</v>
      </c>
    </row>
    <row r="46" spans="1:4" x14ac:dyDescent="0.25">
      <c r="A46" s="1" t="s">
        <v>75</v>
      </c>
      <c r="C46" s="1">
        <v>600</v>
      </c>
      <c r="D46" s="1">
        <f>C46</f>
        <v>600</v>
      </c>
    </row>
    <row r="47" spans="1:4" x14ac:dyDescent="0.25">
      <c r="A47" s="1" t="s">
        <v>76</v>
      </c>
      <c r="C47" s="6">
        <v>-80</v>
      </c>
      <c r="D47" s="6">
        <v>0</v>
      </c>
    </row>
    <row r="48" spans="1:4" x14ac:dyDescent="0.25">
      <c r="A48" s="1" t="s">
        <v>77</v>
      </c>
      <c r="C48" s="1">
        <f>SUM(C46:C47)</f>
        <v>520</v>
      </c>
      <c r="D48" s="1">
        <f>SUM(D46:D47)</f>
        <v>600</v>
      </c>
    </row>
    <row r="49" spans="1:4" x14ac:dyDescent="0.25">
      <c r="A49" s="1" t="s">
        <v>78</v>
      </c>
      <c r="C49" s="6">
        <v>-210</v>
      </c>
      <c r="D49" s="6">
        <f>-D48*0.4</f>
        <v>-240</v>
      </c>
    </row>
    <row r="50" spans="1:4" x14ac:dyDescent="0.25">
      <c r="A50" s="1" t="s">
        <v>79</v>
      </c>
      <c r="C50" s="1">
        <f>SUM(C48:C49)</f>
        <v>310</v>
      </c>
      <c r="D50" s="1">
        <f>SUM(D48:D49)</f>
        <v>360</v>
      </c>
    </row>
    <row r="52" spans="1:4" x14ac:dyDescent="0.25">
      <c r="A52" s="1" t="s">
        <v>82</v>
      </c>
      <c r="C52" s="8">
        <f>C50/(C44+B44)*2</f>
        <v>0.26839826839826841</v>
      </c>
      <c r="D52" s="8">
        <f>D50/(D44+B44)*2</f>
        <v>0.25586353944562901</v>
      </c>
    </row>
    <row r="53" spans="1:4" x14ac:dyDescent="0.25">
      <c r="C53" s="7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/>
  </sheetViews>
  <sheetFormatPr defaultRowHeight="11.25" x14ac:dyDescent="0.25"/>
  <cols>
    <col min="1" max="1" width="25.140625" style="1" bestFit="1" customWidth="1"/>
    <col min="2" max="16384" width="9.140625" style="1"/>
  </cols>
  <sheetData>
    <row r="1" spans="1:2" x14ac:dyDescent="0.25">
      <c r="A1" s="4" t="s">
        <v>18</v>
      </c>
    </row>
    <row r="2" spans="1:2" x14ac:dyDescent="0.25">
      <c r="A2" s="1" t="s">
        <v>75</v>
      </c>
      <c r="B2" s="2">
        <v>146000</v>
      </c>
    </row>
    <row r="3" spans="1:2" x14ac:dyDescent="0.25">
      <c r="A3" s="1" t="s">
        <v>72</v>
      </c>
      <c r="B3" s="2">
        <v>1200000</v>
      </c>
    </row>
    <row r="4" spans="1:2" x14ac:dyDescent="0.25">
      <c r="A4" s="1" t="s">
        <v>85</v>
      </c>
      <c r="B4" s="1">
        <v>3</v>
      </c>
    </row>
    <row r="5" spans="1:2" x14ac:dyDescent="0.25">
      <c r="A5" s="1" t="s">
        <v>86</v>
      </c>
      <c r="B5" s="3">
        <v>0.05</v>
      </c>
    </row>
    <row r="6" spans="1:2" x14ac:dyDescent="0.25">
      <c r="A6" s="1" t="s">
        <v>87</v>
      </c>
      <c r="B6" s="3">
        <v>0.3</v>
      </c>
    </row>
    <row r="7" spans="1:2" x14ac:dyDescent="0.25">
      <c r="A7" s="1" t="s">
        <v>84</v>
      </c>
      <c r="B7" s="3">
        <f>B2/B3</f>
        <v>0.12166666666666667</v>
      </c>
    </row>
    <row r="8" spans="1:2" x14ac:dyDescent="0.25">
      <c r="A8" s="1" t="s">
        <v>74</v>
      </c>
      <c r="B8" s="2">
        <f>B3/(B4+1)</f>
        <v>300000</v>
      </c>
    </row>
    <row r="9" spans="1:2" x14ac:dyDescent="0.25">
      <c r="A9" s="1" t="s">
        <v>73</v>
      </c>
      <c r="B9" s="2">
        <f>B8*B4</f>
        <v>900000</v>
      </c>
    </row>
    <row r="10" spans="1:2" x14ac:dyDescent="0.25">
      <c r="A10" s="1" t="s">
        <v>76</v>
      </c>
      <c r="B10" s="2">
        <f>B9*B5</f>
        <v>45000</v>
      </c>
    </row>
    <row r="11" spans="1:2" x14ac:dyDescent="0.25">
      <c r="A11" s="1" t="s">
        <v>14</v>
      </c>
      <c r="B11" s="2">
        <f>(B2-B10)*(1-B6)</f>
        <v>70700</v>
      </c>
    </row>
    <row r="12" spans="1:2" x14ac:dyDescent="0.25">
      <c r="A12" s="1" t="s">
        <v>82</v>
      </c>
      <c r="B12" s="3">
        <f>B11/B8</f>
        <v>0.23566666666666666</v>
      </c>
    </row>
    <row r="13" spans="1:2" x14ac:dyDescent="0.25">
      <c r="A13" s="1" t="s">
        <v>88</v>
      </c>
      <c r="B13" s="1">
        <v>5</v>
      </c>
    </row>
    <row r="14" spans="1:2" x14ac:dyDescent="0.25">
      <c r="A14" s="1" t="s">
        <v>89</v>
      </c>
      <c r="B14" s="2">
        <f>B3/(B13+1)</f>
        <v>200000</v>
      </c>
    </row>
    <row r="15" spans="1:2" x14ac:dyDescent="0.25">
      <c r="A15" s="1" t="s">
        <v>90</v>
      </c>
      <c r="B15" s="2">
        <f>B14*B13</f>
        <v>1000000</v>
      </c>
    </row>
    <row r="16" spans="1:2" x14ac:dyDescent="0.25">
      <c r="A16" s="1" t="s">
        <v>91</v>
      </c>
      <c r="B16" s="2">
        <f>B15*B5</f>
        <v>50000</v>
      </c>
    </row>
    <row r="17" spans="1:4" x14ac:dyDescent="0.25">
      <c r="A17" s="1" t="s">
        <v>92</v>
      </c>
      <c r="B17" s="2">
        <f>(B2-B16)*(1-B6)</f>
        <v>67200</v>
      </c>
    </row>
    <row r="18" spans="1:4" x14ac:dyDescent="0.25">
      <c r="A18" s="1" t="s">
        <v>93</v>
      </c>
      <c r="B18" s="3">
        <f>B17/B14</f>
        <v>0.33600000000000002</v>
      </c>
    </row>
    <row r="19" spans="1:4" x14ac:dyDescent="0.25">
      <c r="A19" s="1" t="s">
        <v>94</v>
      </c>
      <c r="B19" s="3">
        <v>0.03</v>
      </c>
    </row>
    <row r="20" spans="1:4" x14ac:dyDescent="0.25">
      <c r="A20" s="1" t="s">
        <v>95</v>
      </c>
    </row>
    <row r="21" spans="1:4" x14ac:dyDescent="0.25">
      <c r="A21" s="1" t="s">
        <v>85</v>
      </c>
      <c r="B21" s="1">
        <f>B19/(B5-B19)</f>
        <v>1.4999999999999996</v>
      </c>
    </row>
    <row r="23" spans="1:4" x14ac:dyDescent="0.25">
      <c r="A23" s="4" t="s">
        <v>96</v>
      </c>
    </row>
    <row r="24" spans="1:4" x14ac:dyDescent="0.25">
      <c r="B24" s="7" t="s">
        <v>97</v>
      </c>
      <c r="C24" s="7" t="s">
        <v>98</v>
      </c>
      <c r="D24" s="7" t="s">
        <v>99</v>
      </c>
    </row>
    <row r="25" spans="1:4" x14ac:dyDescent="0.25">
      <c r="A25" s="1" t="s">
        <v>84</v>
      </c>
      <c r="B25" s="3">
        <v>0.1</v>
      </c>
      <c r="C25" s="3">
        <f>B25</f>
        <v>0.1</v>
      </c>
      <c r="D25" s="3">
        <f>C25</f>
        <v>0.1</v>
      </c>
    </row>
    <row r="26" spans="1:4" x14ac:dyDescent="0.25">
      <c r="A26" s="1" t="s">
        <v>86</v>
      </c>
      <c r="B26" s="3">
        <v>0.1</v>
      </c>
      <c r="C26" s="3">
        <f>B26</f>
        <v>0.1</v>
      </c>
      <c r="D26" s="3">
        <f>C26</f>
        <v>0.1</v>
      </c>
    </row>
    <row r="27" spans="1:4" x14ac:dyDescent="0.25">
      <c r="A27" s="1" t="s">
        <v>87</v>
      </c>
      <c r="B27" s="3">
        <v>0.4</v>
      </c>
      <c r="C27" s="3">
        <f>B27</f>
        <v>0.4</v>
      </c>
      <c r="D27" s="3">
        <f>C27</f>
        <v>0.4</v>
      </c>
    </row>
    <row r="28" spans="1:4" x14ac:dyDescent="0.25">
      <c r="B28" s="3"/>
      <c r="C28" s="3"/>
      <c r="D28" s="3"/>
    </row>
    <row r="29" spans="1:4" x14ac:dyDescent="0.25">
      <c r="A29" s="1" t="s">
        <v>73</v>
      </c>
      <c r="B29" s="2">
        <v>0</v>
      </c>
      <c r="C29" s="2">
        <v>1000</v>
      </c>
      <c r="D29" s="2">
        <v>4000</v>
      </c>
    </row>
    <row r="30" spans="1:4" x14ac:dyDescent="0.25">
      <c r="A30" s="1" t="s">
        <v>74</v>
      </c>
      <c r="B30" s="9">
        <v>5000</v>
      </c>
      <c r="C30" s="9">
        <v>4000</v>
      </c>
      <c r="D30" s="9">
        <v>1000</v>
      </c>
    </row>
    <row r="31" spans="1:4" x14ac:dyDescent="0.25">
      <c r="A31" s="1" t="s">
        <v>72</v>
      </c>
      <c r="B31" s="2">
        <f t="shared" ref="B31:C31" si="0">SUM(B29:B30)</f>
        <v>5000</v>
      </c>
      <c r="C31" s="2">
        <f t="shared" si="0"/>
        <v>5000</v>
      </c>
      <c r="D31" s="2">
        <f>SUM(D29:D30)</f>
        <v>5000</v>
      </c>
    </row>
    <row r="32" spans="1:4" x14ac:dyDescent="0.25">
      <c r="B32" s="2"/>
      <c r="C32" s="2"/>
      <c r="D32" s="2"/>
    </row>
    <row r="33" spans="1:4" x14ac:dyDescent="0.25">
      <c r="A33" s="1" t="s">
        <v>75</v>
      </c>
      <c r="B33" s="2">
        <f>B31*B25</f>
        <v>500</v>
      </c>
      <c r="C33" s="2">
        <f t="shared" ref="C33:D33" si="1">C31*C25</f>
        <v>500</v>
      </c>
      <c r="D33" s="2">
        <f t="shared" si="1"/>
        <v>500</v>
      </c>
    </row>
    <row r="34" spans="1:4" x14ac:dyDescent="0.25">
      <c r="A34" s="1" t="s">
        <v>76</v>
      </c>
      <c r="B34" s="9">
        <f>-B29*B26</f>
        <v>0</v>
      </c>
      <c r="C34" s="9">
        <f>-C29*C26</f>
        <v>-100</v>
      </c>
      <c r="D34" s="9">
        <f t="shared" ref="C34:D34" si="2">-D29*D26</f>
        <v>-400</v>
      </c>
    </row>
    <row r="35" spans="1:4" x14ac:dyDescent="0.25">
      <c r="A35" s="1" t="s">
        <v>77</v>
      </c>
      <c r="B35" s="2">
        <f>SUM(B33:B34)</f>
        <v>500</v>
      </c>
      <c r="C35" s="2">
        <f t="shared" ref="C35:D35" si="3">SUM(C33:C34)</f>
        <v>400</v>
      </c>
      <c r="D35" s="2">
        <f t="shared" si="3"/>
        <v>100</v>
      </c>
    </row>
    <row r="36" spans="1:4" x14ac:dyDescent="0.25">
      <c r="A36" s="1" t="s">
        <v>100</v>
      </c>
      <c r="B36" s="9">
        <f>-B35*B27</f>
        <v>-200</v>
      </c>
      <c r="C36" s="9">
        <f t="shared" ref="C36:D36" si="4">-C35*C27</f>
        <v>-160</v>
      </c>
      <c r="D36" s="9">
        <f t="shared" si="4"/>
        <v>-40</v>
      </c>
    </row>
    <row r="37" spans="1:4" x14ac:dyDescent="0.25">
      <c r="A37" s="1" t="s">
        <v>14</v>
      </c>
      <c r="B37" s="2">
        <f>SUM(B35:B36)</f>
        <v>300</v>
      </c>
      <c r="C37" s="2">
        <f t="shared" ref="C37:D37" si="5">SUM(C35:C36)</f>
        <v>240</v>
      </c>
      <c r="D37" s="2">
        <f t="shared" si="5"/>
        <v>60</v>
      </c>
    </row>
    <row r="38" spans="1:4" x14ac:dyDescent="0.25">
      <c r="B38" s="2"/>
      <c r="C38" s="2"/>
      <c r="D38" s="2"/>
    </row>
    <row r="39" spans="1:4" x14ac:dyDescent="0.25">
      <c r="A39" s="1" t="s">
        <v>101</v>
      </c>
      <c r="B39" s="8">
        <f>B37/B30</f>
        <v>0.06</v>
      </c>
      <c r="C39" s="8">
        <f>C37/C30</f>
        <v>0.06</v>
      </c>
      <c r="D39" s="8">
        <f t="shared" ref="C39:D39" si="6">D37/D30</f>
        <v>0.06</v>
      </c>
    </row>
    <row r="40" spans="1:4" x14ac:dyDescent="0.25">
      <c r="A40" s="1" t="s">
        <v>85</v>
      </c>
      <c r="B40" s="1">
        <f>B29/B30</f>
        <v>0</v>
      </c>
      <c r="C40" s="1">
        <f t="shared" ref="C40:D40" si="7">C29/C30</f>
        <v>0.25</v>
      </c>
      <c r="D40" s="1">
        <f t="shared" si="7"/>
        <v>4</v>
      </c>
    </row>
    <row r="41" spans="1:4" x14ac:dyDescent="0.25">
      <c r="A41" s="1" t="s">
        <v>102</v>
      </c>
      <c r="B41" s="8">
        <f>(B25+(B25-B26)*B40)*(1-B27)</f>
        <v>0.06</v>
      </c>
      <c r="C41" s="8">
        <f t="shared" ref="C41:D41" si="8">(C25+(C25-C26)*C40)*(1-C27)</f>
        <v>0.06</v>
      </c>
      <c r="D41" s="8">
        <f t="shared" si="8"/>
        <v>0.06</v>
      </c>
    </row>
    <row r="42" spans="1:4" x14ac:dyDescent="0.25">
      <c r="A42" s="1" t="s">
        <v>103</v>
      </c>
      <c r="B42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workbookViewId="0"/>
  </sheetViews>
  <sheetFormatPr defaultRowHeight="11.25" x14ac:dyDescent="0.25"/>
  <cols>
    <col min="1" max="1" width="9.140625" style="1"/>
    <col min="2" max="2" width="9.85546875" style="1" bestFit="1" customWidth="1"/>
    <col min="3" max="16384" width="9.140625" style="1"/>
  </cols>
  <sheetData>
    <row r="1" spans="1:3" x14ac:dyDescent="0.25">
      <c r="A1" s="1" t="s">
        <v>4</v>
      </c>
      <c r="B1" s="2">
        <v>400000</v>
      </c>
      <c r="C1" s="1" t="s">
        <v>5</v>
      </c>
    </row>
    <row r="2" spans="1:3" x14ac:dyDescent="0.25">
      <c r="A2" s="1" t="s">
        <v>69</v>
      </c>
      <c r="B2" s="2">
        <v>960000</v>
      </c>
      <c r="C2" s="1" t="s">
        <v>5</v>
      </c>
    </row>
    <row r="3" spans="1:3" x14ac:dyDescent="0.25">
      <c r="A3" s="1" t="s">
        <v>0</v>
      </c>
      <c r="B3" s="2">
        <v>16000</v>
      </c>
      <c r="C3" s="1" t="s">
        <v>104</v>
      </c>
    </row>
    <row r="4" spans="1:3" x14ac:dyDescent="0.25">
      <c r="A4" s="1" t="s">
        <v>1</v>
      </c>
      <c r="B4" s="1">
        <v>240</v>
      </c>
      <c r="C4" s="1" t="s">
        <v>105</v>
      </c>
    </row>
    <row r="5" spans="1:3" x14ac:dyDescent="0.25">
      <c r="A5" s="1" t="s">
        <v>6</v>
      </c>
      <c r="B5" s="1">
        <f>B2/B3</f>
        <v>60</v>
      </c>
      <c r="C5" s="1" t="s">
        <v>105</v>
      </c>
    </row>
    <row r="6" spans="1:3" x14ac:dyDescent="0.25">
      <c r="A6" s="1" t="s">
        <v>7</v>
      </c>
      <c r="B6" s="1">
        <f>B4-B5</f>
        <v>180</v>
      </c>
      <c r="C6" s="1" t="s">
        <v>105</v>
      </c>
    </row>
    <row r="7" spans="1:3" x14ac:dyDescent="0.25">
      <c r="A7" s="1" t="s">
        <v>106</v>
      </c>
      <c r="B7" s="2">
        <f>ROUNDUP(B1/B6,0)</f>
        <v>2223</v>
      </c>
      <c r="C7" s="1" t="s">
        <v>104</v>
      </c>
    </row>
    <row r="8" spans="1:3" x14ac:dyDescent="0.25">
      <c r="A8" s="1" t="s">
        <v>107</v>
      </c>
      <c r="B8" s="2">
        <f>B7*B4</f>
        <v>533520</v>
      </c>
      <c r="C8" s="1" t="s">
        <v>5</v>
      </c>
    </row>
    <row r="9" spans="1:3" x14ac:dyDescent="0.25">
      <c r="A9" s="1" t="s">
        <v>108</v>
      </c>
      <c r="B9" s="3">
        <f>(B3-B7)/B3</f>
        <v>0.86106249999999995</v>
      </c>
    </row>
    <row r="10" spans="1:3" x14ac:dyDescent="0.25">
      <c r="A10" s="1" t="s">
        <v>75</v>
      </c>
      <c r="B10" s="2">
        <f>B3*B4-B2-B1</f>
        <v>2480000</v>
      </c>
      <c r="C10" s="1" t="s">
        <v>5</v>
      </c>
    </row>
    <row r="11" spans="1:3" x14ac:dyDescent="0.25">
      <c r="A11" s="1" t="s">
        <v>111</v>
      </c>
      <c r="B11" s="2">
        <f>B3*B4-B2</f>
        <v>2880000</v>
      </c>
      <c r="C11" s="1" t="s">
        <v>5</v>
      </c>
    </row>
    <row r="12" spans="1:3" x14ac:dyDescent="0.25">
      <c r="A12" s="1" t="s">
        <v>109</v>
      </c>
      <c r="B12" s="5">
        <f>B11/B10</f>
        <v>1.1612903225806452</v>
      </c>
    </row>
    <row r="13" spans="1:3" x14ac:dyDescent="0.25">
      <c r="B13" s="5"/>
    </row>
    <row r="14" spans="1:3" x14ac:dyDescent="0.25">
      <c r="A14" s="1" t="s">
        <v>117</v>
      </c>
      <c r="B14" s="3">
        <v>0.15</v>
      </c>
    </row>
    <row r="15" spans="1:3" x14ac:dyDescent="0.25">
      <c r="A15" s="1" t="s">
        <v>116</v>
      </c>
      <c r="B15" s="3">
        <f>B14*B12</f>
        <v>0.17419354838709677</v>
      </c>
    </row>
    <row r="16" spans="1:3" x14ac:dyDescent="0.25">
      <c r="A16" s="1" t="s">
        <v>22</v>
      </c>
      <c r="B16" s="2">
        <f>B3*(1+B14)</f>
        <v>18400</v>
      </c>
      <c r="C16" s="1" t="s">
        <v>104</v>
      </c>
    </row>
    <row r="17" spans="1:3" x14ac:dyDescent="0.25">
      <c r="A17" s="1" t="s">
        <v>110</v>
      </c>
      <c r="B17" s="2">
        <f>B10*(1+B15)</f>
        <v>2912000.0000000005</v>
      </c>
      <c r="C17" s="1" t="s">
        <v>5</v>
      </c>
    </row>
    <row r="18" spans="1:3" x14ac:dyDescent="0.25">
      <c r="A18" s="1" t="s">
        <v>112</v>
      </c>
      <c r="B18" s="2">
        <f>B6*B16</f>
        <v>3312000</v>
      </c>
      <c r="C18" s="1" t="s">
        <v>5</v>
      </c>
    </row>
    <row r="19" spans="1:3" x14ac:dyDescent="0.25">
      <c r="A19" s="1" t="s">
        <v>113</v>
      </c>
      <c r="B19" s="10">
        <f>B18/B17</f>
        <v>1.1373626373626371</v>
      </c>
    </row>
    <row r="20" spans="1:3" x14ac:dyDescent="0.25">
      <c r="B20" s="10"/>
    </row>
    <row r="21" spans="1:3" x14ac:dyDescent="0.25">
      <c r="A21" s="1" t="s">
        <v>115</v>
      </c>
      <c r="B21" s="3">
        <v>0.3</v>
      </c>
    </row>
    <row r="22" spans="1:3" x14ac:dyDescent="0.25">
      <c r="A22" s="1" t="s">
        <v>114</v>
      </c>
      <c r="B22" s="3">
        <f>B21*B12</f>
        <v>0.34838709677419355</v>
      </c>
    </row>
    <row r="23" spans="1:3" x14ac:dyDescent="0.25">
      <c r="A23" s="1" t="s">
        <v>118</v>
      </c>
      <c r="B23" s="2">
        <f>B3*(1+B21)</f>
        <v>20800</v>
      </c>
      <c r="C23" s="1" t="s">
        <v>104</v>
      </c>
    </row>
    <row r="24" spans="1:3" x14ac:dyDescent="0.25">
      <c r="A24" s="1" t="s">
        <v>119</v>
      </c>
      <c r="B24" s="2">
        <f>B10*(1+B22)</f>
        <v>3344000</v>
      </c>
      <c r="C24" s="1" t="s">
        <v>5</v>
      </c>
    </row>
    <row r="25" spans="1:3" x14ac:dyDescent="0.25">
      <c r="A25" s="1" t="s">
        <v>120</v>
      </c>
      <c r="B25" s="2">
        <f>B6*B23</f>
        <v>3744000</v>
      </c>
      <c r="C25" s="1" t="s">
        <v>5</v>
      </c>
    </row>
    <row r="26" spans="1:3" x14ac:dyDescent="0.25">
      <c r="A26" s="1" t="s">
        <v>121</v>
      </c>
      <c r="B26" s="5">
        <f>B25/B24</f>
        <v>1.1196172248803828</v>
      </c>
    </row>
    <row r="27" spans="1:3" x14ac:dyDescent="0.25">
      <c r="B27" s="5"/>
    </row>
    <row r="28" spans="1:3" x14ac:dyDescent="0.25">
      <c r="A28" s="1" t="s">
        <v>122</v>
      </c>
      <c r="B28" s="2">
        <f>B1+1000000</f>
        <v>1400000</v>
      </c>
      <c r="C28" s="1" t="s">
        <v>5</v>
      </c>
    </row>
    <row r="29" spans="1:3" x14ac:dyDescent="0.25">
      <c r="A29" s="1" t="s">
        <v>123</v>
      </c>
      <c r="B29" s="2">
        <f>ROUNDUP(B28/B6,0)</f>
        <v>7778</v>
      </c>
      <c r="C29" s="1" t="s">
        <v>104</v>
      </c>
    </row>
    <row r="30" spans="1:3" x14ac:dyDescent="0.25">
      <c r="A30" s="1" t="s">
        <v>135</v>
      </c>
      <c r="B30" s="2">
        <f>B6*B3-B28</f>
        <v>1480000</v>
      </c>
      <c r="C30" s="1" t="s">
        <v>5</v>
      </c>
    </row>
    <row r="31" spans="1:3" x14ac:dyDescent="0.25">
      <c r="A31" s="1" t="s">
        <v>124</v>
      </c>
      <c r="B31" s="5">
        <f>B11/B30</f>
        <v>1.9459459459459461</v>
      </c>
    </row>
    <row r="32" spans="1:3" x14ac:dyDescent="0.25">
      <c r="B32" s="5"/>
    </row>
    <row r="33" spans="1:3" x14ac:dyDescent="0.25">
      <c r="A33" s="1" t="s">
        <v>125</v>
      </c>
      <c r="B33" s="3">
        <v>0.15</v>
      </c>
    </row>
    <row r="34" spans="1:3" x14ac:dyDescent="0.25">
      <c r="A34" s="1" t="s">
        <v>126</v>
      </c>
      <c r="B34" s="3">
        <f>B33*B31</f>
        <v>0.29189189189189191</v>
      </c>
    </row>
    <row r="35" spans="1:3" x14ac:dyDescent="0.25">
      <c r="A35" s="1" t="s">
        <v>127</v>
      </c>
      <c r="B35" s="2">
        <f>B3*(1+B33)</f>
        <v>18400</v>
      </c>
      <c r="C35" s="1" t="s">
        <v>104</v>
      </c>
    </row>
    <row r="36" spans="1:3" x14ac:dyDescent="0.25">
      <c r="A36" s="1" t="s">
        <v>128</v>
      </c>
      <c r="B36" s="2">
        <f>B30*(1+B34)</f>
        <v>1912000.0000000002</v>
      </c>
      <c r="C36" s="1" t="s">
        <v>5</v>
      </c>
    </row>
    <row r="37" spans="1:3" x14ac:dyDescent="0.25">
      <c r="A37" s="1" t="s">
        <v>129</v>
      </c>
      <c r="B37" s="2">
        <f>B6*B35</f>
        <v>3312000</v>
      </c>
      <c r="C37" s="1" t="s">
        <v>5</v>
      </c>
    </row>
    <row r="38" spans="1:3" x14ac:dyDescent="0.25">
      <c r="A38" s="1" t="s">
        <v>130</v>
      </c>
      <c r="B38" s="5">
        <f>B37/B36</f>
        <v>1.7322175732217571</v>
      </c>
    </row>
    <row r="40" spans="1:3" x14ac:dyDescent="0.25">
      <c r="A40" s="1" t="s">
        <v>131</v>
      </c>
      <c r="B40" s="3">
        <v>0.3</v>
      </c>
    </row>
    <row r="41" spans="1:3" x14ac:dyDescent="0.25">
      <c r="A41" s="1" t="s">
        <v>132</v>
      </c>
      <c r="B41" s="3">
        <f>B31*B40</f>
        <v>0.58378378378378382</v>
      </c>
    </row>
    <row r="42" spans="1:3" x14ac:dyDescent="0.25">
      <c r="A42" s="1" t="s">
        <v>133</v>
      </c>
      <c r="B42" s="2">
        <f>B3*(1+B40)</f>
        <v>20800</v>
      </c>
    </row>
    <row r="43" spans="1:3" x14ac:dyDescent="0.25">
      <c r="A43" s="1" t="s">
        <v>134</v>
      </c>
      <c r="B43" s="2">
        <f>B30*(1+B41)</f>
        <v>2344000</v>
      </c>
    </row>
    <row r="44" spans="1:3" x14ac:dyDescent="0.25">
      <c r="A44" s="1" t="s">
        <v>136</v>
      </c>
      <c r="B44" s="2">
        <f>B6*B42</f>
        <v>3744000</v>
      </c>
    </row>
    <row r="45" spans="1:3" x14ac:dyDescent="0.25">
      <c r="A45" s="1" t="s">
        <v>137</v>
      </c>
      <c r="B45" s="5">
        <f>B44/B43</f>
        <v>1.5972696245733788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BEP</vt:lpstr>
      <vt:lpstr>BEP e leve</vt:lpstr>
      <vt:lpstr>leva finanziaria</vt:lpstr>
      <vt:lpstr>leva operativa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</dc:creator>
  <cp:lastModifiedBy>Francesca</cp:lastModifiedBy>
  <dcterms:created xsi:type="dcterms:W3CDTF">2015-06-01T07:26:45Z</dcterms:created>
  <dcterms:modified xsi:type="dcterms:W3CDTF">2015-06-01T08:40:36Z</dcterms:modified>
</cp:coreProperties>
</file>